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Departments\BuildingSafety\Forms\Carousel\2026\"/>
    </mc:Choice>
  </mc:AlternateContent>
  <xr:revisionPtr revIDLastSave="0" documentId="13_ncr:1_{E7560178-119A-43CC-91A3-BD29012A5534}" xr6:coauthVersionLast="47" xr6:coauthVersionMax="47" xr10:uidLastSave="{00000000-0000-0000-0000-000000000000}"/>
  <bookViews>
    <workbookView xWindow="29730" yWindow="3450" windowWidth="27525" windowHeight="1456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1" l="1"/>
  <c r="C63" i="1" l="1"/>
  <c r="B64" i="1" s="1"/>
  <c r="B65" i="1" s="1"/>
  <c r="B66" i="1" s="1"/>
  <c r="B67" i="1" s="1"/>
  <c r="O54" i="1"/>
  <c r="N55" i="1" s="1"/>
  <c r="N56" i="1" s="1"/>
  <c r="N57" i="1" s="1"/>
  <c r="N58" i="1" s="1"/>
  <c r="I51" i="1"/>
  <c r="H52" i="1" s="1"/>
  <c r="H53" i="1" s="1"/>
  <c r="H54" i="1" s="1"/>
  <c r="H55" i="1" s="1"/>
  <c r="C51" i="1"/>
  <c r="B52" i="1" s="1"/>
  <c r="B53" i="1" s="1"/>
  <c r="B54" i="1" s="1"/>
  <c r="B55" i="1" s="1"/>
  <c r="H48" i="1"/>
  <c r="O44" i="1"/>
  <c r="N45" i="1" s="1"/>
  <c r="N46" i="1" s="1"/>
  <c r="N47" i="1" s="1"/>
  <c r="N48" i="1" s="1"/>
  <c r="I43" i="1"/>
  <c r="I41" i="1"/>
  <c r="C39" i="1"/>
  <c r="B40" i="1" s="1"/>
  <c r="B41" i="1" s="1"/>
  <c r="B42" i="1" s="1"/>
  <c r="B43" i="1" s="1"/>
  <c r="O34" i="1"/>
  <c r="N35" i="1" s="1"/>
  <c r="N36" i="1" s="1"/>
  <c r="N37" i="1" s="1"/>
  <c r="N38" i="1" s="1"/>
  <c r="AB30" i="1"/>
  <c r="AB29" i="1"/>
  <c r="I27" i="1"/>
  <c r="H28" i="1" s="1"/>
  <c r="H29" i="1" s="1"/>
  <c r="H30" i="1" s="1"/>
  <c r="C27" i="1"/>
  <c r="B28" i="1" s="1"/>
  <c r="B29" i="1" s="1"/>
  <c r="B30" i="1" s="1"/>
  <c r="B31" i="1" s="1"/>
  <c r="AB24" i="1"/>
  <c r="O24" i="1"/>
  <c r="N25" i="1" s="1"/>
  <c r="N26" i="1" s="1"/>
  <c r="N27" i="1" s="1"/>
  <c r="N28" i="1" s="1"/>
  <c r="AB23" i="1"/>
  <c r="AB25" i="1" s="1" a="1"/>
  <c r="V23" i="1"/>
  <c r="AB15" i="1"/>
  <c r="I15" i="1"/>
  <c r="H16" i="1" s="1"/>
  <c r="H17" i="1" s="1"/>
  <c r="H18" i="1" s="1"/>
  <c r="H19" i="1" s="1"/>
  <c r="C15" i="1"/>
  <c r="B16" i="1" s="1"/>
  <c r="B17" i="1" s="1"/>
  <c r="B18" i="1" s="1"/>
  <c r="B19" i="1" s="1"/>
  <c r="AB14" i="1"/>
  <c r="O14" i="1"/>
  <c r="N15" i="1" s="1"/>
  <c r="N16" i="1" s="1"/>
  <c r="N17" i="1" s="1"/>
  <c r="N18" i="1" s="1"/>
  <c r="N11" i="1"/>
  <c r="AB9" i="1"/>
  <c r="H9" i="1"/>
  <c r="H12" i="1" s="1"/>
  <c r="B9" i="1"/>
  <c r="B12" i="1" s="1"/>
  <c r="AB8" i="1"/>
  <c r="AB10" i="1" s="1" a="1"/>
  <c r="I7" i="1"/>
  <c r="C7" i="1"/>
  <c r="AB31" i="1" l="1" a="1"/>
  <c r="AB31" i="1" s="1"/>
  <c r="AB16" i="1"/>
  <c r="AB18" i="1" s="1"/>
  <c r="U12" i="1"/>
  <c r="U13" i="1"/>
  <c r="AB25" i="1"/>
  <c r="AB10" i="1"/>
  <c r="H31" i="1"/>
  <c r="H35" i="1" s="1"/>
  <c r="N30" i="1"/>
  <c r="N29" i="1"/>
  <c r="B47" i="1"/>
  <c r="B46" i="1"/>
  <c r="B44" i="1"/>
  <c r="B45" i="1" s="1"/>
  <c r="B71" i="1"/>
  <c r="B70" i="1"/>
  <c r="B68" i="1"/>
  <c r="B69" i="1" s="1"/>
  <c r="H22" i="1"/>
  <c r="H20" i="1"/>
  <c r="H21" i="1" s="1"/>
  <c r="H23" i="1"/>
  <c r="B23" i="1"/>
  <c r="B22" i="1"/>
  <c r="B20" i="1"/>
  <c r="B21" i="1" s="1"/>
  <c r="B34" i="1"/>
  <c r="B32" i="1"/>
  <c r="B33" i="1" s="1"/>
  <c r="B35" i="1"/>
  <c r="N50" i="1"/>
  <c r="N49" i="1"/>
  <c r="N51" i="1" s="1" a="1"/>
  <c r="N51" i="1" s="1"/>
  <c r="B56" i="1"/>
  <c r="B57" i="1" s="1"/>
  <c r="B59" i="1"/>
  <c r="B58" i="1"/>
  <c r="N20" i="1"/>
  <c r="N19" i="1"/>
  <c r="N21" i="1" s="1" a="1"/>
  <c r="N40" i="1"/>
  <c r="N39" i="1"/>
  <c r="H56" i="1"/>
  <c r="H57" i="1"/>
  <c r="H58" i="1" s="1"/>
  <c r="U10" i="1"/>
  <c r="U11" i="1" s="1"/>
  <c r="U14" i="1" l="1" a="1"/>
  <c r="N41" i="1" a="1"/>
  <c r="N41" i="1" s="1"/>
  <c r="N31" i="1" a="1"/>
  <c r="N31" i="1" s="1"/>
  <c r="N21" i="1"/>
  <c r="B72" i="1" a="1"/>
  <c r="B72" i="1" s="1"/>
  <c r="H32" i="1"/>
  <c r="H33" i="1" s="1"/>
  <c r="H34" i="1"/>
  <c r="B60" i="1" a="1"/>
  <c r="B60" i="1" s="1"/>
  <c r="B24" i="1" a="1"/>
  <c r="B24" i="1" s="1"/>
  <c r="B48" i="1" a="1"/>
  <c r="B48" i="1" s="1"/>
  <c r="N59" i="1"/>
  <c r="N60" i="1"/>
  <c r="H24" i="1" a="1"/>
  <c r="H24" i="1" s="1"/>
  <c r="B36" i="1" a="1"/>
  <c r="B36" i="1" s="1"/>
  <c r="U14" i="1" l="1"/>
  <c r="N61" i="1" a="1"/>
  <c r="N61" i="1" s="1"/>
  <c r="H36" i="1" a="1"/>
  <c r="H36" i="1" s="1"/>
</calcChain>
</file>

<file path=xl/sharedStrings.xml><?xml version="1.0" encoding="utf-8"?>
<sst xmlns="http://schemas.openxmlformats.org/spreadsheetml/2006/main" count="222" uniqueCount="56">
  <si>
    <t>Trade Permits</t>
  </si>
  <si>
    <t>Project Management Permits</t>
  </si>
  <si>
    <t>Elevator Permits</t>
  </si>
  <si>
    <t>Building</t>
  </si>
  <si>
    <t>$1,000 (min)</t>
  </si>
  <si>
    <t>Trade</t>
  </si>
  <si>
    <t>$1000 (min)</t>
  </si>
  <si>
    <t>PM</t>
  </si>
  <si>
    <t>Erect Demo</t>
  </si>
  <si>
    <t>Valuation</t>
  </si>
  <si>
    <t>Base Fee</t>
  </si>
  <si>
    <t>Plan Check *50%</t>
  </si>
  <si>
    <t>fee*1%</t>
  </si>
  <si>
    <t>fee*1.5%</t>
  </si>
  <si>
    <t>Total fee</t>
  </si>
  <si>
    <t>Erect New</t>
  </si>
  <si>
    <t>Range</t>
  </si>
  <si>
    <t>$1,001-$24,999 ($60/5.50)</t>
  </si>
  <si>
    <t>0-2</t>
  </si>
  <si>
    <t>$1,001 - $999,999 (60/$6.00)</t>
  </si>
  <si>
    <t>3-5</t>
  </si>
  <si>
    <t>6-10</t>
  </si>
  <si>
    <t>/1000</t>
  </si>
  <si>
    <t>Subtotal fee</t>
  </si>
  <si>
    <t>11-15</t>
  </si>
  <si>
    <t>*5.5</t>
  </si>
  <si>
    <t>Number of Landings</t>
  </si>
  <si>
    <t>ADD RANGE</t>
  </si>
  <si>
    <t>16-</t>
  </si>
  <si>
    <t>*6</t>
  </si>
  <si>
    <t>Sewage Manlift</t>
  </si>
  <si>
    <t>Special Purpose</t>
  </si>
  <si>
    <t>Subtotal</t>
  </si>
  <si>
    <t>Alteration =&lt; $10,000</t>
  </si>
  <si>
    <t>$25,000-$49,999 ($192/4.75)</t>
  </si>
  <si>
    <t>*4.75</t>
  </si>
  <si>
    <t>Alteration &gt; $10,000</t>
  </si>
  <si>
    <t>$50,000-$99,999 ($310.75/4.25)</t>
  </si>
  <si>
    <t>MF Permits</t>
  </si>
  <si>
    <t>*4.25</t>
  </si>
  <si>
    <t>*3.75</t>
  </si>
  <si>
    <t>*3.25</t>
  </si>
  <si>
    <t>$100,000-$1,999,999 ($523.25/3.75)</t>
  </si>
  <si>
    <t>$2,000,000+ (7648.25/3.00)</t>
  </si>
  <si>
    <t>*3.00</t>
  </si>
  <si>
    <t>$1,000,000 + ($6054/$3.25)</t>
  </si>
  <si>
    <t>$100 Per Unit</t>
  </si>
  <si>
    <t>Building &amp; Saftey Permit Fee Calculator</t>
  </si>
  <si>
    <t>Electrical Show Power</t>
  </si>
  <si>
    <t>EV - Flat Fee</t>
  </si>
  <si>
    <t># of units here</t>
  </si>
  <si>
    <t>Unit subtotal</t>
  </si>
  <si>
    <t>ADD UNITS</t>
  </si>
  <si>
    <r>
      <t>To obtain a permit fee amout prior to applying for a permit, enter the</t>
    </r>
    <r>
      <rPr>
        <b/>
        <sz val="11"/>
        <color theme="1"/>
        <rFont val="Calibri"/>
        <family val="2"/>
        <scheme val="minor"/>
      </rPr>
      <t xml:space="preserve"> full contract valuation (including owner furnished material)</t>
    </r>
    <r>
      <rPr>
        <sz val="11"/>
        <color theme="1"/>
        <rFont val="Calibri"/>
        <family val="2"/>
        <scheme val="minor"/>
      </rPr>
      <t xml:space="preserve"> in the appropriate category below in the yellow highlighted field, based on the type of permit being applied.  For questions on how to use the calculator, please reach out to Permitting@oversightdistrict.org.</t>
    </r>
  </si>
  <si>
    <t>Manufactured Building</t>
  </si>
  <si>
    <t>Building Permits (including Move/Demo)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</si>
</sst>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 applyProtection="1"/>
    <xf numFmtId="164" fontId="2" fillId="4" borderId="0" xfId="0" applyNumberFormat="1" applyFont="1" applyFill="1" applyProtection="1">
      <protection locked="0"/>
    </xf>
    <xf numFmtId="164" fontId="0" fillId="4" borderId="0" xfId="0" applyNumberFormat="1" applyFill="1" applyProtection="1">
      <protection locked="0"/>
    </xf>
    <xf numFmtId="164" fontId="2" fillId="4" borderId="0" xfId="2" applyNumberFormat="1" applyFont="1" applyFill="1" applyProtection="1">
      <protection locked="0"/>
    </xf>
    <xf numFmtId="0" fontId="0" fillId="4" borderId="0" xfId="0" quotePrefix="1" applyFill="1" applyProtection="1">
      <protection locked="0"/>
    </xf>
    <xf numFmtId="0" fontId="2" fillId="0" borderId="0" xfId="0" applyFont="1" applyProtection="1"/>
    <xf numFmtId="164" fontId="0" fillId="0" borderId="0" xfId="0" applyNumberFormat="1" applyProtection="1"/>
    <xf numFmtId="0" fontId="0" fillId="0" borderId="0" xfId="0" applyProtection="1"/>
    <xf numFmtId="0" fontId="0" fillId="0" borderId="0" xfId="0" applyAlignment="1" applyProtection="1">
      <alignment horizontal="left" vertical="top" wrapText="1"/>
    </xf>
    <xf numFmtId="0" fontId="2" fillId="2" borderId="0" xfId="0" applyFont="1" applyFill="1" applyAlignment="1" applyProtection="1">
      <alignment horizontal="center"/>
    </xf>
    <xf numFmtId="0" fontId="0" fillId="3" borderId="0" xfId="0" applyFill="1" applyProtection="1"/>
    <xf numFmtId="0" fontId="2" fillId="0" borderId="0" xfId="0" applyFon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164" fontId="2" fillId="0" borderId="0" xfId="0" applyNumberFormat="1" applyFont="1" applyProtection="1"/>
    <xf numFmtId="4" fontId="2" fillId="0" borderId="0" xfId="0" applyNumberFormat="1" applyFont="1" applyProtection="1"/>
    <xf numFmtId="4" fontId="0" fillId="0" borderId="0" xfId="0" applyNumberFormat="1" applyProtection="1"/>
    <xf numFmtId="0" fontId="0" fillId="0" borderId="0" xfId="0" quotePrefix="1" applyProtection="1"/>
    <xf numFmtId="3" fontId="0" fillId="0" borderId="0" xfId="0" quotePrefix="1" applyNumberFormat="1" applyProtection="1"/>
    <xf numFmtId="1" fontId="0" fillId="0" borderId="0" xfId="0" quotePrefix="1" applyNumberFormat="1" applyProtection="1"/>
    <xf numFmtId="164" fontId="2" fillId="4" borderId="0" xfId="0" applyNumberFormat="1" applyFont="1" applyFill="1" applyProtection="1"/>
    <xf numFmtId="3" fontId="0" fillId="0" borderId="0" xfId="0" applyNumberFormat="1" applyProtection="1"/>
    <xf numFmtId="0" fontId="0" fillId="4" borderId="0" xfId="0" applyFill="1" applyProtection="1"/>
    <xf numFmtId="0" fontId="2" fillId="4" borderId="0" xfId="0" applyFont="1" applyFill="1" applyProtection="1"/>
    <xf numFmtId="1" fontId="0" fillId="0" borderId="0" xfId="0" applyNumberFormat="1" applyAlignment="1" applyProtection="1">
      <alignment wrapText="1"/>
    </xf>
    <xf numFmtId="0" fontId="0" fillId="4" borderId="0" xfId="0" quotePrefix="1" applyFill="1" applyProtection="1"/>
    <xf numFmtId="0" fontId="2" fillId="4" borderId="0" xfId="0" quotePrefix="1" applyFont="1" applyFill="1" applyProtection="1"/>
    <xf numFmtId="0" fontId="2" fillId="2" borderId="0" xfId="0" applyFont="1" applyFill="1" applyAlignment="1" applyProtection="1">
      <alignment horizontal="left"/>
    </xf>
    <xf numFmtId="164" fontId="2" fillId="0" borderId="0" xfId="0" quotePrefix="1" applyNumberFormat="1" applyFont="1" applyProtection="1"/>
    <xf numFmtId="4" fontId="2" fillId="0" borderId="0" xfId="0" quotePrefix="1" applyNumberFormat="1" applyFont="1" applyProtection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2"/>
  <sheetViews>
    <sheetView tabSelected="1" zoomScale="90" zoomScaleNormal="90" workbookViewId="0">
      <selection activeCell="AB17" sqref="AB17"/>
    </sheetView>
  </sheetViews>
  <sheetFormatPr defaultColWidth="8.90625" defaultRowHeight="14.5" x14ac:dyDescent="0.35"/>
  <cols>
    <col min="1" max="1" width="14.453125" style="8" customWidth="1"/>
    <col min="2" max="2" width="30.6328125" style="7" customWidth="1"/>
    <col min="3" max="3" width="0.453125" style="8" customWidth="1"/>
    <col min="4" max="4" width="2.81640625" style="8" customWidth="1"/>
    <col min="5" max="5" width="2.36328125" style="8" customWidth="1"/>
    <col min="6" max="6" width="2.81640625" style="8" customWidth="1"/>
    <col min="7" max="7" width="14.6328125" style="8" customWidth="1"/>
    <col min="8" max="8" width="26.36328125" style="7" bestFit="1" customWidth="1"/>
    <col min="9" max="9" width="0.36328125" style="8" customWidth="1"/>
    <col min="10" max="10" width="2.81640625" style="8" customWidth="1"/>
    <col min="11" max="11" width="2.36328125" style="8" customWidth="1"/>
    <col min="12" max="12" width="2.81640625" style="8" customWidth="1"/>
    <col min="13" max="13" width="15.6328125" style="8" bestFit="1" customWidth="1"/>
    <col min="14" max="14" width="30.6328125" style="7" customWidth="1"/>
    <col min="15" max="15" width="0.54296875" style="7" customWidth="1"/>
    <col min="16" max="16" width="2.81640625" style="8" customWidth="1"/>
    <col min="17" max="17" width="2.36328125" style="8" customWidth="1"/>
    <col min="18" max="18" width="2.81640625" style="8" customWidth="1"/>
    <col min="19" max="19" width="14.81640625" style="8" customWidth="1"/>
    <col min="20" max="20" width="11.08984375" style="8" customWidth="1"/>
    <col min="21" max="21" width="23" style="7" customWidth="1"/>
    <col min="22" max="22" width="29" style="8" hidden="1" customWidth="1"/>
    <col min="23" max="23" width="2.81640625" style="8" customWidth="1"/>
    <col min="24" max="24" width="2.36328125" style="8" customWidth="1"/>
    <col min="25" max="25" width="2.81640625" style="8" customWidth="1"/>
    <col min="26" max="26" width="17.453125" style="8" bestFit="1" customWidth="1"/>
    <col min="27" max="27" width="11.36328125" style="8" customWidth="1"/>
    <col min="28" max="28" width="20.08984375" style="7" customWidth="1"/>
    <col min="29" max="29" width="2.90625" style="8" customWidth="1"/>
    <col min="30" max="30" width="15" style="8" customWidth="1"/>
    <col min="31" max="16384" width="8.90625" style="8"/>
  </cols>
  <sheetData>
    <row r="1" spans="1:31" x14ac:dyDescent="0.35">
      <c r="A1" s="6" t="s">
        <v>47</v>
      </c>
    </row>
    <row r="2" spans="1:31" x14ac:dyDescent="0.35">
      <c r="A2" s="9" t="s">
        <v>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AB2" s="8"/>
    </row>
    <row r="3" spans="1:31" x14ac:dyDescent="0.35">
      <c r="A3" s="6"/>
    </row>
    <row r="4" spans="1:31" x14ac:dyDescent="0.35">
      <c r="A4" s="10" t="s">
        <v>55</v>
      </c>
      <c r="B4" s="10"/>
      <c r="E4" s="11"/>
      <c r="G4" s="10" t="s">
        <v>0</v>
      </c>
      <c r="H4" s="10"/>
      <c r="K4" s="11"/>
      <c r="M4" s="10" t="s">
        <v>1</v>
      </c>
      <c r="N4" s="10"/>
      <c r="O4" s="12"/>
      <c r="Q4" s="11"/>
      <c r="S4" s="10" t="s">
        <v>54</v>
      </c>
      <c r="T4" s="10"/>
      <c r="U4" s="10"/>
      <c r="X4" s="11"/>
      <c r="Z4" s="10" t="s">
        <v>2</v>
      </c>
      <c r="AA4" s="10"/>
      <c r="AB4" s="10"/>
    </row>
    <row r="5" spans="1:31" x14ac:dyDescent="0.35">
      <c r="E5" s="11"/>
      <c r="K5" s="11"/>
      <c r="M5" s="12"/>
      <c r="N5" s="13"/>
      <c r="O5" s="13"/>
      <c r="Q5" s="11"/>
      <c r="S5" s="12"/>
      <c r="T5" s="12"/>
      <c r="U5" s="13"/>
      <c r="X5" s="11"/>
      <c r="Z5" s="12"/>
      <c r="AA5" s="12"/>
      <c r="AB5" s="13"/>
    </row>
    <row r="6" spans="1:31" x14ac:dyDescent="0.35">
      <c r="A6" s="6" t="s">
        <v>3</v>
      </c>
      <c r="B6" s="14" t="s">
        <v>4</v>
      </c>
      <c r="C6" s="15"/>
      <c r="E6" s="11"/>
      <c r="G6" s="6" t="s">
        <v>5</v>
      </c>
      <c r="H6" s="14" t="s">
        <v>6</v>
      </c>
      <c r="K6" s="11"/>
      <c r="M6" s="6" t="s">
        <v>7</v>
      </c>
      <c r="N6" s="14" t="s">
        <v>4</v>
      </c>
      <c r="O6" s="14"/>
      <c r="Q6" s="11"/>
      <c r="S6" s="6" t="s">
        <v>38</v>
      </c>
      <c r="T6" s="6"/>
      <c r="U6" s="14" t="s">
        <v>46</v>
      </c>
      <c r="X6" s="11"/>
      <c r="Z6" s="6" t="s">
        <v>49</v>
      </c>
      <c r="AA6" s="6"/>
      <c r="AB6" s="14" t="s">
        <v>8</v>
      </c>
    </row>
    <row r="7" spans="1:31" x14ac:dyDescent="0.35">
      <c r="A7" s="6" t="s">
        <v>9</v>
      </c>
      <c r="B7" s="14">
        <v>1000</v>
      </c>
      <c r="C7" s="16">
        <f>CEILING(B7,1000)</f>
        <v>1000</v>
      </c>
      <c r="E7" s="11"/>
      <c r="G7" s="6" t="s">
        <v>9</v>
      </c>
      <c r="H7" s="14">
        <v>1000</v>
      </c>
      <c r="I7" s="1">
        <f>CEILING(H7,1000)</f>
        <v>1000</v>
      </c>
      <c r="K7" s="11"/>
      <c r="M7" s="6" t="s">
        <v>9</v>
      </c>
      <c r="N7" s="14">
        <v>1000</v>
      </c>
      <c r="O7" s="1"/>
      <c r="Q7" s="11"/>
      <c r="S7" s="17" t="s">
        <v>10</v>
      </c>
      <c r="T7" s="17"/>
      <c r="U7" s="7">
        <v>100</v>
      </c>
      <c r="V7" s="1"/>
      <c r="X7" s="11"/>
      <c r="Z7" s="17" t="s">
        <v>10</v>
      </c>
      <c r="AA7" s="17"/>
      <c r="AB7" s="7">
        <v>950</v>
      </c>
    </row>
    <row r="8" spans="1:31" x14ac:dyDescent="0.35">
      <c r="A8" s="18" t="s">
        <v>10</v>
      </c>
      <c r="B8" s="7">
        <v>60</v>
      </c>
      <c r="C8" s="16"/>
      <c r="E8" s="11"/>
      <c r="G8" s="18" t="s">
        <v>10</v>
      </c>
      <c r="H8" s="7">
        <v>60</v>
      </c>
      <c r="I8" s="1"/>
      <c r="K8" s="11"/>
      <c r="M8" s="18" t="s">
        <v>10</v>
      </c>
      <c r="N8" s="7">
        <v>60</v>
      </c>
      <c r="Q8" s="11"/>
      <c r="S8" s="25" t="s">
        <v>50</v>
      </c>
      <c r="T8" s="26" t="s">
        <v>52</v>
      </c>
      <c r="U8" s="5"/>
      <c r="V8" s="1"/>
      <c r="X8" s="11"/>
      <c r="Z8" s="8" t="s">
        <v>12</v>
      </c>
      <c r="AB8" s="7">
        <f>MAX(2,(SUM(AB7*0.01)))</f>
        <v>9.5</v>
      </c>
    </row>
    <row r="9" spans="1:31" x14ac:dyDescent="0.35">
      <c r="A9" s="8" t="s">
        <v>11</v>
      </c>
      <c r="B9" s="7">
        <f>SUM(B8*0.5)</f>
        <v>30</v>
      </c>
      <c r="C9" s="16"/>
      <c r="E9" s="11"/>
      <c r="G9" s="8" t="s">
        <v>11</v>
      </c>
      <c r="H9" s="7">
        <f>SUM(H8*0.5)</f>
        <v>30</v>
      </c>
      <c r="I9" s="1"/>
      <c r="K9" s="11"/>
      <c r="M9" s="8" t="s">
        <v>12</v>
      </c>
      <c r="N9" s="7">
        <v>2</v>
      </c>
      <c r="Q9" s="11"/>
      <c r="S9" s="8" t="s">
        <v>51</v>
      </c>
      <c r="U9" s="7">
        <f>SUM(U7*U8)</f>
        <v>0</v>
      </c>
      <c r="X9" s="11"/>
      <c r="Z9" s="8" t="s">
        <v>13</v>
      </c>
      <c r="AB9" s="7">
        <f>MAX(2,(SUM(AB7*0.015)))</f>
        <v>14.25</v>
      </c>
    </row>
    <row r="10" spans="1:31" x14ac:dyDescent="0.35">
      <c r="A10" s="8" t="s">
        <v>12</v>
      </c>
      <c r="B10" s="7">
        <v>2</v>
      </c>
      <c r="C10" s="16"/>
      <c r="E10" s="11"/>
      <c r="G10" s="8" t="s">
        <v>12</v>
      </c>
      <c r="H10" s="7">
        <v>2</v>
      </c>
      <c r="I10" s="1"/>
      <c r="K10" s="11"/>
      <c r="M10" s="8" t="s">
        <v>13</v>
      </c>
      <c r="N10" s="7">
        <v>2</v>
      </c>
      <c r="Q10" s="11"/>
      <c r="S10" s="8" t="s">
        <v>11</v>
      </c>
      <c r="U10" s="7">
        <f>SUM(U9*0.5)</f>
        <v>0</v>
      </c>
      <c r="X10" s="11"/>
      <c r="Z10" s="6" t="s">
        <v>14</v>
      </c>
      <c r="AA10" s="6"/>
      <c r="AB10" s="14">
        <f t="array" ref="AB10">SUM(ROUND(AB7:AB9,2))</f>
        <v>973.75</v>
      </c>
    </row>
    <row r="11" spans="1:31" x14ac:dyDescent="0.35">
      <c r="A11" s="8" t="s">
        <v>13</v>
      </c>
      <c r="B11" s="7">
        <v>2</v>
      </c>
      <c r="C11" s="16"/>
      <c r="E11" s="11"/>
      <c r="G11" s="8" t="s">
        <v>13</v>
      </c>
      <c r="H11" s="7">
        <v>2</v>
      </c>
      <c r="I11" s="1"/>
      <c r="K11" s="11"/>
      <c r="M11" s="6" t="s">
        <v>14</v>
      </c>
      <c r="N11" s="14">
        <f>SUM(N8:N10)</f>
        <v>64</v>
      </c>
      <c r="O11" s="14"/>
      <c r="Q11" s="11"/>
      <c r="S11" s="8" t="s">
        <v>32</v>
      </c>
      <c r="U11" s="7">
        <f>SUM(U9:V10)</f>
        <v>0</v>
      </c>
      <c r="X11" s="11"/>
      <c r="Z11" s="6"/>
      <c r="AA11" s="6"/>
      <c r="AB11" s="14"/>
    </row>
    <row r="12" spans="1:31" x14ac:dyDescent="0.35">
      <c r="A12" s="6" t="s">
        <v>14</v>
      </c>
      <c r="B12" s="14">
        <f>SUM(B8:B11)</f>
        <v>94</v>
      </c>
      <c r="C12" s="15"/>
      <c r="E12" s="11"/>
      <c r="G12" s="6" t="s">
        <v>14</v>
      </c>
      <c r="H12" s="14">
        <f>SUM(H8:H11)</f>
        <v>94</v>
      </c>
      <c r="I12" s="1"/>
      <c r="K12" s="11"/>
      <c r="Q12" s="11"/>
      <c r="S12" s="8" t="s">
        <v>12</v>
      </c>
      <c r="U12" s="7">
        <f>MAX(2,(SUM(U9*0.01)))</f>
        <v>2</v>
      </c>
      <c r="X12" s="11"/>
      <c r="Z12" s="6" t="s">
        <v>49</v>
      </c>
      <c r="AA12" s="6"/>
      <c r="AB12" s="14" t="s">
        <v>15</v>
      </c>
      <c r="AD12" s="6" t="s">
        <v>16</v>
      </c>
    </row>
    <row r="13" spans="1:31" x14ac:dyDescent="0.35">
      <c r="C13" s="16"/>
      <c r="E13" s="11"/>
      <c r="I13" s="1"/>
      <c r="K13" s="11"/>
      <c r="M13" s="6" t="s">
        <v>7</v>
      </c>
      <c r="N13" s="14" t="s">
        <v>17</v>
      </c>
      <c r="O13" s="14"/>
      <c r="Q13" s="11"/>
      <c r="S13" s="8" t="s">
        <v>13</v>
      </c>
      <c r="U13" s="7">
        <f>MAX(2,(SUM(U9*0.015)))</f>
        <v>2</v>
      </c>
      <c r="X13" s="11"/>
      <c r="Z13" s="17" t="s">
        <v>10</v>
      </c>
      <c r="AA13" s="17"/>
      <c r="AB13" s="7">
        <v>950</v>
      </c>
      <c r="AD13" s="19" t="s">
        <v>18</v>
      </c>
      <c r="AE13" s="7">
        <v>100</v>
      </c>
    </row>
    <row r="14" spans="1:31" x14ac:dyDescent="0.35">
      <c r="A14" s="6" t="s">
        <v>3</v>
      </c>
      <c r="B14" s="14" t="s">
        <v>17</v>
      </c>
      <c r="C14" s="15"/>
      <c r="E14" s="11"/>
      <c r="G14" s="6" t="s">
        <v>5</v>
      </c>
      <c r="H14" s="14" t="s">
        <v>19</v>
      </c>
      <c r="I14" s="1"/>
      <c r="K14" s="11"/>
      <c r="M14" s="6" t="s">
        <v>9</v>
      </c>
      <c r="N14" s="2"/>
      <c r="O14" s="1">
        <f>CEILING(N14,1000)</f>
        <v>0</v>
      </c>
      <c r="Q14" s="11"/>
      <c r="S14" s="6" t="s">
        <v>14</v>
      </c>
      <c r="T14" s="6"/>
      <c r="U14" s="14">
        <f t="array" ref="U14">SUM(ROUND(U11:U13,2))</f>
        <v>4</v>
      </c>
      <c r="X14" s="11"/>
      <c r="Z14" s="8" t="s">
        <v>12</v>
      </c>
      <c r="AB14" s="7">
        <f>MAX(2,(SUM(AB13*0.01)))</f>
        <v>9.5</v>
      </c>
      <c r="AD14" s="19" t="s">
        <v>20</v>
      </c>
      <c r="AE14" s="7">
        <v>110</v>
      </c>
    </row>
    <row r="15" spans="1:31" x14ac:dyDescent="0.35">
      <c r="A15" s="6" t="s">
        <v>9</v>
      </c>
      <c r="B15" s="4"/>
      <c r="C15" s="16">
        <f>CEILING(B15,1000)</f>
        <v>0</v>
      </c>
      <c r="E15" s="11"/>
      <c r="G15" s="6" t="s">
        <v>9</v>
      </c>
      <c r="H15" s="4"/>
      <c r="I15" s="1">
        <f>CEILING(H15,1000)</f>
        <v>0</v>
      </c>
      <c r="K15" s="11"/>
      <c r="M15" s="21">
        <v>-1000</v>
      </c>
      <c r="N15" s="7">
        <f>SUM(O14-1000)</f>
        <v>-1000</v>
      </c>
      <c r="Q15" s="11"/>
      <c r="V15" s="1"/>
      <c r="X15" s="11"/>
      <c r="Z15" s="8" t="s">
        <v>13</v>
      </c>
      <c r="AB15" s="7">
        <f>MAX(2,(SUM(AB13*0.015)))</f>
        <v>14.25</v>
      </c>
      <c r="AD15" s="19" t="s">
        <v>21</v>
      </c>
      <c r="AE15" s="7">
        <v>120</v>
      </c>
    </row>
    <row r="16" spans="1:31" x14ac:dyDescent="0.35">
      <c r="A16" s="21">
        <v>-1000</v>
      </c>
      <c r="B16" s="7">
        <f>SUM(C15-1000)</f>
        <v>-1000</v>
      </c>
      <c r="E16" s="11"/>
      <c r="G16" s="21">
        <v>-1000</v>
      </c>
      <c r="H16" s="7">
        <f>SUM(I15-1000)</f>
        <v>-1000</v>
      </c>
      <c r="I16" s="1"/>
      <c r="K16" s="11"/>
      <c r="M16" s="17" t="s">
        <v>22</v>
      </c>
      <c r="N16" s="7">
        <f>SUM(N15/1000)</f>
        <v>-1</v>
      </c>
      <c r="Q16" s="11"/>
      <c r="X16" s="11"/>
      <c r="Z16" s="6" t="s">
        <v>23</v>
      </c>
      <c r="AA16" s="6"/>
      <c r="AB16" s="14">
        <f>SUM(AB13:AB15)</f>
        <v>973.75</v>
      </c>
      <c r="AD16" s="19" t="s">
        <v>24</v>
      </c>
      <c r="AE16" s="7">
        <v>130</v>
      </c>
    </row>
    <row r="17" spans="1:31" x14ac:dyDescent="0.35">
      <c r="A17" s="17" t="s">
        <v>22</v>
      </c>
      <c r="B17" s="7">
        <f>SUM(B16/1000)</f>
        <v>-1</v>
      </c>
      <c r="C17" s="16"/>
      <c r="E17" s="11"/>
      <c r="G17" s="17" t="s">
        <v>22</v>
      </c>
      <c r="H17" s="7">
        <f>SUM(H16/1000)</f>
        <v>-1</v>
      </c>
      <c r="I17" s="1"/>
      <c r="K17" s="11"/>
      <c r="M17" s="8" t="s">
        <v>25</v>
      </c>
      <c r="N17" s="7">
        <f>SUM(N16*5.5)</f>
        <v>-5.5</v>
      </c>
      <c r="Q17" s="11"/>
      <c r="X17" s="11"/>
      <c r="Z17" s="22" t="s">
        <v>26</v>
      </c>
      <c r="AA17" s="23" t="s">
        <v>27</v>
      </c>
      <c r="AB17" s="3"/>
      <c r="AD17" s="19" t="s">
        <v>28</v>
      </c>
      <c r="AE17" s="7">
        <v>140</v>
      </c>
    </row>
    <row r="18" spans="1:31" x14ac:dyDescent="0.35">
      <c r="A18" s="8" t="s">
        <v>25</v>
      </c>
      <c r="B18" s="7">
        <f>SUM(B17*5.5)</f>
        <v>-5.5</v>
      </c>
      <c r="C18" s="16"/>
      <c r="E18" s="11"/>
      <c r="G18" s="8" t="s">
        <v>29</v>
      </c>
      <c r="H18" s="7">
        <f>SUM(H17*6)</f>
        <v>-6</v>
      </c>
      <c r="K18" s="11"/>
      <c r="M18" s="17" t="s">
        <v>10</v>
      </c>
      <c r="N18" s="7">
        <f>SUM(N17+60)</f>
        <v>54.5</v>
      </c>
      <c r="Q18" s="11"/>
      <c r="X18" s="11"/>
      <c r="Z18" s="6" t="s">
        <v>14</v>
      </c>
      <c r="AA18" s="6"/>
      <c r="AB18" s="14">
        <f>SUM(AB16:AB17)</f>
        <v>973.75</v>
      </c>
      <c r="AD18" s="24" t="s">
        <v>30</v>
      </c>
      <c r="AE18" s="7">
        <v>120</v>
      </c>
    </row>
    <row r="19" spans="1:31" x14ac:dyDescent="0.35">
      <c r="A19" s="17" t="s">
        <v>10</v>
      </c>
      <c r="B19" s="7">
        <f>SUM(B18+60)</f>
        <v>54.5</v>
      </c>
      <c r="C19" s="16"/>
      <c r="E19" s="11"/>
      <c r="G19" s="17" t="s">
        <v>10</v>
      </c>
      <c r="H19" s="7">
        <f>SUM(H18+60)</f>
        <v>54</v>
      </c>
      <c r="I19" s="1"/>
      <c r="K19" s="11"/>
      <c r="M19" s="8" t="s">
        <v>12</v>
      </c>
      <c r="N19" s="7">
        <f>MAX(2,(SUM(N18*0.01)))</f>
        <v>2</v>
      </c>
      <c r="Q19" s="11"/>
      <c r="X19" s="11"/>
      <c r="Z19" s="6"/>
      <c r="AA19" s="6"/>
      <c r="AB19" s="14"/>
      <c r="AD19" s="24" t="s">
        <v>31</v>
      </c>
      <c r="AE19" s="7">
        <v>140</v>
      </c>
    </row>
    <row r="20" spans="1:31" x14ac:dyDescent="0.35">
      <c r="A20" s="8" t="s">
        <v>11</v>
      </c>
      <c r="B20" s="7">
        <f>SUM(B19*0.5)</f>
        <v>27.25</v>
      </c>
      <c r="C20" s="16"/>
      <c r="E20" s="11"/>
      <c r="G20" s="8" t="s">
        <v>11</v>
      </c>
      <c r="H20" s="7">
        <f>SUM(H19*0.5)</f>
        <v>27</v>
      </c>
      <c r="I20" s="1"/>
      <c r="K20" s="11"/>
      <c r="M20" s="8" t="s">
        <v>13</v>
      </c>
      <c r="N20" s="7">
        <f>MAX(2,(SUM(N18*0.015)))</f>
        <v>2</v>
      </c>
      <c r="Q20" s="11"/>
      <c r="X20" s="11"/>
      <c r="Z20" s="6"/>
      <c r="AA20" s="6"/>
      <c r="AB20" s="14"/>
    </row>
    <row r="21" spans="1:31" x14ac:dyDescent="0.35">
      <c r="A21" s="8" t="s">
        <v>32</v>
      </c>
      <c r="B21" s="7">
        <f>SUM(B19:B20)</f>
        <v>81.75</v>
      </c>
      <c r="C21" s="16"/>
      <c r="E21" s="11"/>
      <c r="G21" s="8" t="s">
        <v>32</v>
      </c>
      <c r="H21" s="7">
        <f>SUM(H19:H20)</f>
        <v>81</v>
      </c>
      <c r="I21" s="1"/>
      <c r="K21" s="11"/>
      <c r="M21" s="6" t="s">
        <v>14</v>
      </c>
      <c r="N21" s="14">
        <f t="array" ref="N21">SUM(ROUND(N18:N20,2))</f>
        <v>58.5</v>
      </c>
      <c r="O21" s="14"/>
      <c r="Q21" s="11"/>
      <c r="X21" s="11"/>
      <c r="Z21" s="6" t="s">
        <v>49</v>
      </c>
      <c r="AA21" s="6"/>
      <c r="AB21" s="14" t="s">
        <v>33</v>
      </c>
    </row>
    <row r="22" spans="1:31" x14ac:dyDescent="0.35">
      <c r="A22" s="8" t="s">
        <v>12</v>
      </c>
      <c r="B22" s="7">
        <f>MAX(2,(SUM(B19*0.01)))</f>
        <v>2</v>
      </c>
      <c r="C22" s="16"/>
      <c r="E22" s="11"/>
      <c r="G22" s="8" t="s">
        <v>12</v>
      </c>
      <c r="H22" s="7">
        <f>MAX(2,(SUM(H19*0.01)))</f>
        <v>2</v>
      </c>
      <c r="I22" s="1"/>
      <c r="K22" s="11"/>
      <c r="M22" s="6"/>
      <c r="N22" s="14"/>
      <c r="O22" s="14"/>
      <c r="Q22" s="11"/>
      <c r="X22" s="11"/>
      <c r="Z22" s="17" t="s">
        <v>10</v>
      </c>
      <c r="AA22" s="17"/>
      <c r="AB22" s="7">
        <v>500</v>
      </c>
    </row>
    <row r="23" spans="1:31" x14ac:dyDescent="0.35">
      <c r="A23" s="8" t="s">
        <v>13</v>
      </c>
      <c r="B23" s="7">
        <f>MAX(2,(SUM(B19*0.015)))</f>
        <v>2</v>
      </c>
      <c r="C23" s="16"/>
      <c r="E23" s="11"/>
      <c r="G23" s="8" t="s">
        <v>13</v>
      </c>
      <c r="H23" s="7">
        <f>MAX(2,(SUM(H19*0.015)))</f>
        <v>2</v>
      </c>
      <c r="I23" s="1"/>
      <c r="K23" s="11"/>
      <c r="M23" s="6" t="s">
        <v>7</v>
      </c>
      <c r="N23" s="14" t="s">
        <v>34</v>
      </c>
      <c r="O23" s="14"/>
      <c r="Q23" s="11"/>
      <c r="V23" s="1" t="e">
        <f>CEILING(#REF!,1000)</f>
        <v>#REF!</v>
      </c>
      <c r="X23" s="11"/>
      <c r="Z23" s="8" t="s">
        <v>12</v>
      </c>
      <c r="AB23" s="7">
        <f>MAX(2,(SUM(AB22*0.01)))</f>
        <v>5</v>
      </c>
    </row>
    <row r="24" spans="1:31" x14ac:dyDescent="0.35">
      <c r="A24" s="6" t="s">
        <v>14</v>
      </c>
      <c r="B24" s="14">
        <f t="array" ref="B24">SUM(ROUND(B21:B23,2))</f>
        <v>85.75</v>
      </c>
      <c r="C24" s="15"/>
      <c r="E24" s="11"/>
      <c r="G24" s="6" t="s">
        <v>14</v>
      </c>
      <c r="H24" s="14">
        <f t="array" ref="H24">SUM(ROUND(H21:H23,2))</f>
        <v>85</v>
      </c>
      <c r="I24" s="1"/>
      <c r="K24" s="11"/>
      <c r="M24" s="6" t="s">
        <v>9</v>
      </c>
      <c r="N24" s="2"/>
      <c r="O24" s="1">
        <f>CEILING(N24,1000)</f>
        <v>0</v>
      </c>
      <c r="Q24" s="11"/>
      <c r="X24" s="11"/>
      <c r="Z24" s="8" t="s">
        <v>13</v>
      </c>
      <c r="AB24" s="7">
        <f>MAX(2,(SUM(AB22*0.015)))</f>
        <v>7.5</v>
      </c>
    </row>
    <row r="25" spans="1:31" x14ac:dyDescent="0.35">
      <c r="A25" s="6"/>
      <c r="B25" s="14"/>
      <c r="C25" s="15"/>
      <c r="E25" s="11"/>
      <c r="G25" s="6"/>
      <c r="H25" s="14"/>
      <c r="I25" s="1"/>
      <c r="K25" s="11"/>
      <c r="M25" s="21">
        <v>-25000</v>
      </c>
      <c r="N25" s="7">
        <f>SUM(O24-25000)</f>
        <v>-25000</v>
      </c>
      <c r="Q25" s="11"/>
      <c r="X25" s="11"/>
      <c r="Z25" s="6" t="s">
        <v>14</v>
      </c>
      <c r="AA25" s="6"/>
      <c r="AB25" s="14">
        <f t="array" ref="AB25">SUM(ROUND(AB22:AB24,2))</f>
        <v>512.5</v>
      </c>
    </row>
    <row r="26" spans="1:31" x14ac:dyDescent="0.35">
      <c r="A26" s="6" t="s">
        <v>3</v>
      </c>
      <c r="B26" s="14" t="s">
        <v>34</v>
      </c>
      <c r="C26" s="15"/>
      <c r="E26" s="11"/>
      <c r="G26" s="6" t="s">
        <v>5</v>
      </c>
      <c r="H26" s="14" t="s">
        <v>45</v>
      </c>
      <c r="I26" s="1"/>
      <c r="K26" s="11"/>
      <c r="M26" s="17" t="s">
        <v>22</v>
      </c>
      <c r="N26" s="7">
        <f>SUM(N25/1000)</f>
        <v>-25</v>
      </c>
      <c r="Q26" s="11"/>
      <c r="X26" s="11"/>
      <c r="Z26" s="6"/>
      <c r="AA26" s="6"/>
      <c r="AB26" s="14"/>
    </row>
    <row r="27" spans="1:31" x14ac:dyDescent="0.35">
      <c r="A27" s="6" t="s">
        <v>9</v>
      </c>
      <c r="B27" s="4"/>
      <c r="C27" s="16">
        <f>CEILING(B27,1000)</f>
        <v>0</v>
      </c>
      <c r="E27" s="11"/>
      <c r="G27" s="6" t="s">
        <v>9</v>
      </c>
      <c r="H27" s="4"/>
      <c r="I27" s="1">
        <f>CEILING(H27,1000)</f>
        <v>0</v>
      </c>
      <c r="K27" s="11"/>
      <c r="M27" s="8" t="s">
        <v>35</v>
      </c>
      <c r="N27" s="7">
        <f>SUM(N26*4.75)</f>
        <v>-118.75</v>
      </c>
      <c r="Q27" s="11"/>
      <c r="X27" s="11"/>
      <c r="Z27" s="6" t="s">
        <v>49</v>
      </c>
      <c r="AA27" s="6"/>
      <c r="AB27" s="14" t="s">
        <v>36</v>
      </c>
    </row>
    <row r="28" spans="1:31" x14ac:dyDescent="0.35">
      <c r="A28" s="21">
        <v>-25000</v>
      </c>
      <c r="B28" s="7">
        <f>SUM(C27-25000)</f>
        <v>-25000</v>
      </c>
      <c r="E28" s="11"/>
      <c r="G28" s="21">
        <v>-1000000</v>
      </c>
      <c r="H28" s="7">
        <f>SUM(I27-1000000)</f>
        <v>-1000000</v>
      </c>
      <c r="K28" s="11"/>
      <c r="M28" s="17" t="s">
        <v>10</v>
      </c>
      <c r="N28" s="7">
        <f>SUM(N27+192)</f>
        <v>73.25</v>
      </c>
      <c r="Q28" s="11"/>
      <c r="X28" s="11"/>
      <c r="Z28" s="17" t="s">
        <v>10</v>
      </c>
      <c r="AA28" s="17"/>
      <c r="AB28" s="7">
        <v>650</v>
      </c>
    </row>
    <row r="29" spans="1:31" x14ac:dyDescent="0.35">
      <c r="A29" s="17" t="s">
        <v>22</v>
      </c>
      <c r="B29" s="7">
        <f>SUM(B28/1000)</f>
        <v>-25</v>
      </c>
      <c r="C29" s="16"/>
      <c r="E29" s="11"/>
      <c r="G29" s="17" t="s">
        <v>22</v>
      </c>
      <c r="H29" s="7">
        <f>SUM(H28/1000)</f>
        <v>-1000</v>
      </c>
      <c r="K29" s="11"/>
      <c r="M29" s="8" t="s">
        <v>12</v>
      </c>
      <c r="N29" s="7">
        <f>MAX(2,(SUM(N28*0.01)))</f>
        <v>2</v>
      </c>
      <c r="Q29" s="11"/>
      <c r="X29" s="11"/>
      <c r="Z29" s="8" t="s">
        <v>12</v>
      </c>
      <c r="AB29" s="7">
        <f>MAX(2,(SUM(AB28*0.01)))</f>
        <v>6.5</v>
      </c>
    </row>
    <row r="30" spans="1:31" x14ac:dyDescent="0.35">
      <c r="A30" s="8" t="s">
        <v>35</v>
      </c>
      <c r="B30" s="7">
        <f>SUM(B29*4.75)</f>
        <v>-118.75</v>
      </c>
      <c r="C30" s="16"/>
      <c r="E30" s="11"/>
      <c r="G30" s="8" t="s">
        <v>41</v>
      </c>
      <c r="H30" s="7">
        <f>SUM(H29*3.25)</f>
        <v>-3250</v>
      </c>
      <c r="K30" s="11"/>
      <c r="M30" s="8" t="s">
        <v>13</v>
      </c>
      <c r="N30" s="7">
        <f>MAX(2,(SUM(N28*0.015)))</f>
        <v>2</v>
      </c>
      <c r="Q30" s="11"/>
      <c r="S30" s="15"/>
      <c r="T30" s="15"/>
      <c r="X30" s="11"/>
      <c r="Z30" s="8" t="s">
        <v>13</v>
      </c>
      <c r="AB30" s="7">
        <f>MAX(2,(SUM(AB28*0.015)))</f>
        <v>9.75</v>
      </c>
    </row>
    <row r="31" spans="1:31" x14ac:dyDescent="0.35">
      <c r="A31" s="17" t="s">
        <v>10</v>
      </c>
      <c r="B31" s="7">
        <f>SUM(B30+192)</f>
        <v>73.25</v>
      </c>
      <c r="C31" s="16"/>
      <c r="E31" s="11"/>
      <c r="G31" s="17" t="s">
        <v>10</v>
      </c>
      <c r="H31" s="7">
        <f>SUM(H30+6054)</f>
        <v>2804</v>
      </c>
      <c r="K31" s="11"/>
      <c r="M31" s="6" t="s">
        <v>14</v>
      </c>
      <c r="N31" s="14">
        <f t="array" ref="N31">SUM(ROUND(N28:N30,2))</f>
        <v>77.25</v>
      </c>
      <c r="O31" s="14"/>
      <c r="Q31" s="11"/>
      <c r="S31" s="16"/>
      <c r="T31" s="16"/>
      <c r="X31" s="11"/>
      <c r="Z31" s="6" t="s">
        <v>14</v>
      </c>
      <c r="AA31" s="6"/>
      <c r="AB31" s="14">
        <f t="array" ref="AB31">SUM(ROUND(AB28:AB30,2))</f>
        <v>666.25</v>
      </c>
    </row>
    <row r="32" spans="1:31" x14ac:dyDescent="0.35">
      <c r="A32" s="8" t="s">
        <v>11</v>
      </c>
      <c r="B32" s="7">
        <f>SUM(B31*0.5)</f>
        <v>36.625</v>
      </c>
      <c r="C32" s="16"/>
      <c r="E32" s="11"/>
      <c r="G32" s="8" t="s">
        <v>11</v>
      </c>
      <c r="H32" s="7">
        <f>SUM(H31*0.5)</f>
        <v>1402</v>
      </c>
      <c r="K32" s="11"/>
      <c r="M32" s="6"/>
      <c r="N32" s="14"/>
      <c r="O32" s="14"/>
      <c r="Q32" s="11"/>
      <c r="X32" s="11"/>
    </row>
    <row r="33" spans="1:24" x14ac:dyDescent="0.35">
      <c r="A33" s="8" t="s">
        <v>32</v>
      </c>
      <c r="B33" s="7">
        <f>SUM(B31:B32)</f>
        <v>109.875</v>
      </c>
      <c r="C33" s="16"/>
      <c r="E33" s="11"/>
      <c r="G33" s="8" t="s">
        <v>32</v>
      </c>
      <c r="H33" s="7">
        <f>SUM(H31:H32)</f>
        <v>4206</v>
      </c>
      <c r="K33" s="11"/>
      <c r="M33" s="6" t="s">
        <v>7</v>
      </c>
      <c r="N33" s="14" t="s">
        <v>37</v>
      </c>
      <c r="O33" s="14"/>
      <c r="Q33" s="11"/>
      <c r="S33" s="16"/>
      <c r="T33" s="16"/>
      <c r="X33" s="11"/>
    </row>
    <row r="34" spans="1:24" x14ac:dyDescent="0.35">
      <c r="A34" s="8" t="s">
        <v>12</v>
      </c>
      <c r="B34" s="7">
        <f>MAX(2,(SUM(B31*0.01)))</f>
        <v>2</v>
      </c>
      <c r="C34" s="16"/>
      <c r="E34" s="11"/>
      <c r="G34" s="8" t="s">
        <v>12</v>
      </c>
      <c r="H34" s="7">
        <f>SUM(H31*0.01)</f>
        <v>28.04</v>
      </c>
      <c r="I34" s="1"/>
      <c r="K34" s="11"/>
      <c r="M34" s="6" t="s">
        <v>9</v>
      </c>
      <c r="N34" s="2"/>
      <c r="O34" s="1">
        <f>CEILING(N34,1000)</f>
        <v>0</v>
      </c>
      <c r="Q34" s="11"/>
      <c r="S34" s="16"/>
      <c r="T34" s="16"/>
      <c r="X34" s="11"/>
    </row>
    <row r="35" spans="1:24" x14ac:dyDescent="0.35">
      <c r="A35" s="8" t="s">
        <v>13</v>
      </c>
      <c r="B35" s="7">
        <f>MAX(2,(SUM(B31*0.015)))</f>
        <v>2</v>
      </c>
      <c r="C35" s="16"/>
      <c r="E35" s="11"/>
      <c r="G35" s="8" t="s">
        <v>13</v>
      </c>
      <c r="H35" s="7">
        <f>SUM(H31*0.015)</f>
        <v>42.059999999999995</v>
      </c>
      <c r="I35" s="1"/>
      <c r="K35" s="11"/>
      <c r="M35" s="21">
        <v>-50000</v>
      </c>
      <c r="N35" s="7">
        <f>SUM(O34-50000)</f>
        <v>-50000</v>
      </c>
      <c r="Q35" s="11"/>
      <c r="S35" s="16"/>
      <c r="T35" s="16"/>
      <c r="X35" s="11"/>
    </row>
    <row r="36" spans="1:24" x14ac:dyDescent="0.35">
      <c r="A36" s="6" t="s">
        <v>14</v>
      </c>
      <c r="B36" s="14">
        <f t="array" ref="B36">SUM(ROUND(B33:B35,2))</f>
        <v>113.88</v>
      </c>
      <c r="C36" s="15"/>
      <c r="E36" s="11"/>
      <c r="G36" s="6" t="s">
        <v>14</v>
      </c>
      <c r="H36" s="14">
        <f t="array" ref="H36">SUM(ROUND(H33:H35,2))</f>
        <v>4276.1000000000004</v>
      </c>
      <c r="I36" s="1"/>
      <c r="K36" s="11"/>
      <c r="M36" s="17" t="s">
        <v>22</v>
      </c>
      <c r="N36" s="7">
        <f>SUM(N35/1000)</f>
        <v>-50</v>
      </c>
      <c r="Q36" s="11"/>
      <c r="S36" s="16"/>
      <c r="T36" s="16"/>
      <c r="X36" s="11"/>
    </row>
    <row r="37" spans="1:24" x14ac:dyDescent="0.35">
      <c r="A37" s="6"/>
      <c r="B37" s="14"/>
      <c r="C37" s="15"/>
      <c r="E37" s="11"/>
      <c r="K37" s="11"/>
      <c r="M37" s="8" t="s">
        <v>39</v>
      </c>
      <c r="N37" s="7">
        <f>SUM(N36*4.25)</f>
        <v>-212.5</v>
      </c>
      <c r="Q37" s="11"/>
      <c r="S37" s="15"/>
      <c r="T37" s="15"/>
      <c r="X37" s="11"/>
    </row>
    <row r="38" spans="1:24" x14ac:dyDescent="0.35">
      <c r="A38" s="6" t="s">
        <v>3</v>
      </c>
      <c r="B38" s="14" t="s">
        <v>37</v>
      </c>
      <c r="C38" s="15"/>
      <c r="E38" s="11"/>
      <c r="G38" s="6"/>
      <c r="H38" s="14"/>
      <c r="K38" s="11"/>
      <c r="M38" s="17" t="s">
        <v>10</v>
      </c>
      <c r="N38" s="7">
        <f>SUM(N37+310.75)</f>
        <v>98.25</v>
      </c>
      <c r="Q38" s="11"/>
      <c r="S38" s="16"/>
      <c r="T38" s="16"/>
      <c r="X38" s="11"/>
    </row>
    <row r="39" spans="1:24" x14ac:dyDescent="0.35">
      <c r="A39" s="6" t="s">
        <v>9</v>
      </c>
      <c r="B39" s="2"/>
      <c r="C39" s="16">
        <f>CEILING(B39,1000)</f>
        <v>0</v>
      </c>
      <c r="E39" s="11"/>
      <c r="G39" s="6"/>
      <c r="H39" s="14"/>
      <c r="K39" s="11"/>
      <c r="M39" s="8" t="s">
        <v>12</v>
      </c>
      <c r="N39" s="7">
        <f>MAX(2,(SUM(N38*0.01)))</f>
        <v>2</v>
      </c>
      <c r="Q39" s="11"/>
      <c r="S39" s="15"/>
      <c r="T39" s="15"/>
      <c r="X39" s="11"/>
    </row>
    <row r="40" spans="1:24" x14ac:dyDescent="0.35">
      <c r="A40" s="21">
        <v>-50000</v>
      </c>
      <c r="B40" s="7">
        <f>SUM(C39-50000)</f>
        <v>-50000</v>
      </c>
      <c r="E40" s="11"/>
      <c r="G40" s="12"/>
      <c r="H40" s="13"/>
      <c r="I40" s="15"/>
      <c r="K40" s="11"/>
      <c r="M40" s="8" t="s">
        <v>13</v>
      </c>
      <c r="N40" s="7">
        <f>MAX(2,(SUM(N38*0.015)))</f>
        <v>2</v>
      </c>
      <c r="Q40" s="11"/>
      <c r="X40" s="11"/>
    </row>
    <row r="41" spans="1:24" x14ac:dyDescent="0.35">
      <c r="A41" s="17" t="s">
        <v>22</v>
      </c>
      <c r="B41" s="7">
        <f>SUM(B40/1000)</f>
        <v>-50</v>
      </c>
      <c r="C41" s="16"/>
      <c r="E41" s="11"/>
      <c r="G41" s="6"/>
      <c r="H41" s="14"/>
      <c r="I41" s="16">
        <f>CEILING(H42,1000)</f>
        <v>0</v>
      </c>
      <c r="K41" s="11"/>
      <c r="M41" s="6" t="s">
        <v>14</v>
      </c>
      <c r="N41" s="14">
        <f t="array" ref="N41">SUM(ROUND(N38:N40,2))</f>
        <v>102.25</v>
      </c>
      <c r="O41" s="14"/>
      <c r="Q41" s="11"/>
      <c r="X41" s="11"/>
    </row>
    <row r="42" spans="1:24" x14ac:dyDescent="0.35">
      <c r="A42" s="8" t="s">
        <v>39</v>
      </c>
      <c r="B42" s="7">
        <f>SUM(B41*4.25)</f>
        <v>-212.5</v>
      </c>
      <c r="C42" s="16"/>
      <c r="E42" s="11"/>
      <c r="G42" s="27" t="s">
        <v>48</v>
      </c>
      <c r="H42" s="27"/>
      <c r="I42" s="15"/>
      <c r="K42" s="11"/>
      <c r="M42" s="12"/>
      <c r="N42" s="13"/>
      <c r="O42" s="13"/>
      <c r="Q42" s="11"/>
      <c r="X42" s="11"/>
    </row>
    <row r="43" spans="1:24" x14ac:dyDescent="0.35">
      <c r="A43" s="17" t="s">
        <v>10</v>
      </c>
      <c r="B43" s="7">
        <f>SUM(B42+310.75)</f>
        <v>98.25</v>
      </c>
      <c r="C43" s="16"/>
      <c r="E43" s="11"/>
      <c r="G43" s="6" t="s">
        <v>5</v>
      </c>
      <c r="H43" s="14" t="s">
        <v>6</v>
      </c>
      <c r="I43" s="16">
        <f>CEILING(H44,1000)</f>
        <v>1000</v>
      </c>
      <c r="K43" s="11"/>
      <c r="M43" s="6" t="s">
        <v>7</v>
      </c>
      <c r="N43" s="14" t="s">
        <v>42</v>
      </c>
      <c r="O43" s="14"/>
      <c r="Q43" s="11"/>
      <c r="X43" s="11"/>
    </row>
    <row r="44" spans="1:24" x14ac:dyDescent="0.35">
      <c r="A44" s="8" t="s">
        <v>11</v>
      </c>
      <c r="B44" s="7">
        <f>SUM(B43*0.5)</f>
        <v>49.125</v>
      </c>
      <c r="C44" s="16"/>
      <c r="E44" s="11"/>
      <c r="G44" s="6" t="s">
        <v>9</v>
      </c>
      <c r="H44" s="20">
        <v>1000</v>
      </c>
      <c r="K44" s="11"/>
      <c r="M44" s="6" t="s">
        <v>9</v>
      </c>
      <c r="N44" s="2"/>
      <c r="O44" s="1">
        <f>CEILING(N44,1000)</f>
        <v>0</v>
      </c>
      <c r="Q44" s="11"/>
      <c r="X44" s="11"/>
    </row>
    <row r="45" spans="1:24" x14ac:dyDescent="0.35">
      <c r="A45" s="8" t="s">
        <v>32</v>
      </c>
      <c r="B45" s="7">
        <f>SUM(B43:B44)</f>
        <v>147.375</v>
      </c>
      <c r="C45" s="16"/>
      <c r="E45" s="11"/>
      <c r="G45" s="18" t="s">
        <v>10</v>
      </c>
      <c r="H45" s="7">
        <v>60</v>
      </c>
      <c r="I45" s="16"/>
      <c r="K45" s="11"/>
      <c r="M45" s="21">
        <v>-100000</v>
      </c>
      <c r="N45" s="7">
        <f>SUM(O44-100000)</f>
        <v>-100000</v>
      </c>
      <c r="Q45" s="11"/>
      <c r="X45" s="11"/>
    </row>
    <row r="46" spans="1:24" x14ac:dyDescent="0.35">
      <c r="A46" s="8" t="s">
        <v>12</v>
      </c>
      <c r="B46" s="7">
        <f>MAX(2,(SUM(B43*0.01)))</f>
        <v>2</v>
      </c>
      <c r="C46" s="16"/>
      <c r="E46" s="11"/>
      <c r="G46" s="8" t="s">
        <v>12</v>
      </c>
      <c r="H46" s="7">
        <v>2</v>
      </c>
      <c r="I46" s="16"/>
      <c r="K46" s="11"/>
      <c r="M46" s="17" t="s">
        <v>22</v>
      </c>
      <c r="N46" s="7">
        <f>SUM(N45/1000)</f>
        <v>-100</v>
      </c>
      <c r="Q46" s="11"/>
      <c r="X46" s="11"/>
    </row>
    <row r="47" spans="1:24" x14ac:dyDescent="0.35">
      <c r="A47" s="8" t="s">
        <v>13</v>
      </c>
      <c r="B47" s="7">
        <f>MAX(2,(SUM(B43*0.015)))</f>
        <v>2</v>
      </c>
      <c r="C47" s="16"/>
      <c r="E47" s="11"/>
      <c r="G47" s="8" t="s">
        <v>13</v>
      </c>
      <c r="H47" s="7">
        <v>2</v>
      </c>
      <c r="I47" s="16"/>
      <c r="K47" s="11"/>
      <c r="M47" s="8" t="s">
        <v>40</v>
      </c>
      <c r="N47" s="7">
        <f>SUM(N46*3.75)</f>
        <v>-375</v>
      </c>
      <c r="Q47" s="11"/>
      <c r="X47" s="11"/>
    </row>
    <row r="48" spans="1:24" x14ac:dyDescent="0.35">
      <c r="A48" s="6" t="s">
        <v>14</v>
      </c>
      <c r="B48" s="14">
        <f t="array" ref="B48">SUM(ROUND(B45:B47,2))</f>
        <v>151.38</v>
      </c>
      <c r="C48" s="15"/>
      <c r="E48" s="11"/>
      <c r="G48" s="6" t="s">
        <v>14</v>
      </c>
      <c r="H48" s="14">
        <f>SUM(H45:H47)</f>
        <v>64</v>
      </c>
      <c r="I48" s="16"/>
      <c r="K48" s="11"/>
      <c r="M48" s="17" t="s">
        <v>10</v>
      </c>
      <c r="N48" s="7">
        <f>SUM(N47+523.25)</f>
        <v>148.25</v>
      </c>
      <c r="Q48" s="11"/>
      <c r="X48" s="11"/>
    </row>
    <row r="49" spans="1:27" x14ac:dyDescent="0.35">
      <c r="A49" s="18"/>
      <c r="C49" s="16"/>
      <c r="E49" s="11"/>
      <c r="I49" s="16"/>
      <c r="K49" s="11"/>
      <c r="M49" s="8" t="s">
        <v>12</v>
      </c>
      <c r="N49" s="7">
        <f>MAX(2,(SUM(N48*0.01)))</f>
        <v>2</v>
      </c>
      <c r="Q49" s="11"/>
      <c r="X49" s="11"/>
    </row>
    <row r="50" spans="1:27" x14ac:dyDescent="0.35">
      <c r="A50" s="6" t="s">
        <v>3</v>
      </c>
      <c r="B50" s="14" t="s">
        <v>42</v>
      </c>
      <c r="C50" s="15"/>
      <c r="E50" s="11"/>
      <c r="G50" s="6" t="s">
        <v>5</v>
      </c>
      <c r="H50" s="14" t="s">
        <v>19</v>
      </c>
      <c r="K50" s="11"/>
      <c r="M50" s="8" t="s">
        <v>13</v>
      </c>
      <c r="N50" s="7">
        <f>MAX(2,(SUM(N48*0.015)))</f>
        <v>2.2237499999999999</v>
      </c>
      <c r="Q50" s="11"/>
      <c r="X50" s="11"/>
    </row>
    <row r="51" spans="1:27" x14ac:dyDescent="0.35">
      <c r="A51" s="6" t="s">
        <v>9</v>
      </c>
      <c r="B51" s="4"/>
      <c r="C51" s="16">
        <f>CEILING(B51,1000)</f>
        <v>0</v>
      </c>
      <c r="E51" s="11"/>
      <c r="G51" s="6" t="s">
        <v>9</v>
      </c>
      <c r="H51" s="4"/>
      <c r="I51" s="16">
        <f>CEILING(H51,1000)</f>
        <v>0</v>
      </c>
      <c r="K51" s="11"/>
      <c r="M51" s="6" t="s">
        <v>14</v>
      </c>
      <c r="N51" s="14">
        <f t="array" ref="N51">SUM(ROUND(N48:N50,2))</f>
        <v>152.47</v>
      </c>
      <c r="O51" s="14"/>
      <c r="Q51" s="11"/>
      <c r="X51" s="11"/>
    </row>
    <row r="52" spans="1:27" x14ac:dyDescent="0.35">
      <c r="A52" s="21">
        <v>-100000</v>
      </c>
      <c r="B52" s="7">
        <f>SUM(C51-100000)</f>
        <v>-100000</v>
      </c>
      <c r="E52" s="11"/>
      <c r="G52" s="21">
        <v>-1000</v>
      </c>
      <c r="H52" s="7">
        <f>SUM(I51-1000)</f>
        <v>-1000</v>
      </c>
      <c r="K52" s="11"/>
      <c r="M52" s="6"/>
      <c r="N52" s="14"/>
      <c r="O52" s="14"/>
      <c r="Q52" s="11"/>
      <c r="X52" s="11"/>
    </row>
    <row r="53" spans="1:27" x14ac:dyDescent="0.35">
      <c r="A53" s="17" t="s">
        <v>22</v>
      </c>
      <c r="B53" s="7">
        <f>SUM(B52/1000)</f>
        <v>-100</v>
      </c>
      <c r="C53" s="16"/>
      <c r="E53" s="11"/>
      <c r="G53" s="17" t="s">
        <v>22</v>
      </c>
      <c r="H53" s="7">
        <f>SUM(H52/1000)</f>
        <v>-1</v>
      </c>
      <c r="K53" s="11"/>
      <c r="M53" s="6" t="s">
        <v>7</v>
      </c>
      <c r="N53" s="28" t="s">
        <v>43</v>
      </c>
      <c r="O53" s="29"/>
      <c r="Q53" s="11"/>
      <c r="X53" s="11"/>
    </row>
    <row r="54" spans="1:27" x14ac:dyDescent="0.35">
      <c r="A54" s="8" t="s">
        <v>40</v>
      </c>
      <c r="B54" s="7">
        <f>SUM(B53*3.75)</f>
        <v>-375</v>
      </c>
      <c r="C54" s="16"/>
      <c r="E54" s="11"/>
      <c r="G54" s="8" t="s">
        <v>29</v>
      </c>
      <c r="H54" s="7">
        <f>SUM(H53*6)</f>
        <v>-6</v>
      </c>
      <c r="K54" s="11"/>
      <c r="M54" s="6" t="s">
        <v>9</v>
      </c>
      <c r="N54" s="4"/>
      <c r="O54" s="16">
        <f>CEILING(N54,1000)</f>
        <v>0</v>
      </c>
      <c r="Q54" s="11"/>
      <c r="X54" s="11"/>
    </row>
    <row r="55" spans="1:27" x14ac:dyDescent="0.35">
      <c r="A55" s="17" t="s">
        <v>10</v>
      </c>
      <c r="B55" s="7">
        <f>SUM(B54+523.25)</f>
        <v>148.25</v>
      </c>
      <c r="C55" s="16"/>
      <c r="E55" s="11"/>
      <c r="G55" s="17" t="s">
        <v>10</v>
      </c>
      <c r="H55" s="7">
        <f>SUM(H54+60)</f>
        <v>54</v>
      </c>
      <c r="K55" s="11"/>
      <c r="M55" s="21">
        <v>-2000000</v>
      </c>
      <c r="N55" s="7">
        <f>SUM(O54-2000000)</f>
        <v>-2000000</v>
      </c>
      <c r="O55" s="8"/>
      <c r="Q55" s="11"/>
      <c r="X55" s="11"/>
    </row>
    <row r="56" spans="1:27" x14ac:dyDescent="0.35">
      <c r="A56" s="8" t="s">
        <v>11</v>
      </c>
      <c r="B56" s="7">
        <f>SUM(B55*0.5)</f>
        <v>74.125</v>
      </c>
      <c r="C56" s="16"/>
      <c r="E56" s="11"/>
      <c r="G56" s="8" t="s">
        <v>12</v>
      </c>
      <c r="H56" s="7">
        <f>MAX(2,(SUM(H55*0.01)))</f>
        <v>2</v>
      </c>
      <c r="K56" s="11"/>
      <c r="M56" s="17" t="s">
        <v>22</v>
      </c>
      <c r="N56" s="7">
        <f>SUM(N55/1000)</f>
        <v>-2000</v>
      </c>
      <c r="O56" s="16"/>
      <c r="Q56" s="11"/>
      <c r="X56" s="11"/>
    </row>
    <row r="57" spans="1:27" x14ac:dyDescent="0.35">
      <c r="A57" s="8" t="s">
        <v>32</v>
      </c>
      <c r="B57" s="7">
        <f>SUM(B55:B56)</f>
        <v>222.375</v>
      </c>
      <c r="C57" s="16"/>
      <c r="E57" s="11"/>
      <c r="G57" s="8" t="s">
        <v>13</v>
      </c>
      <c r="H57" s="7">
        <f>MAX(2,(SUM(H55*0.015)))</f>
        <v>2</v>
      </c>
      <c r="K57" s="11"/>
      <c r="M57" s="8" t="s">
        <v>44</v>
      </c>
      <c r="N57" s="7">
        <f>SUM(N56*3)</f>
        <v>-6000</v>
      </c>
      <c r="O57" s="16"/>
      <c r="Q57" s="11"/>
      <c r="X57" s="11"/>
      <c r="Z57" s="15"/>
      <c r="AA57" s="15"/>
    </row>
    <row r="58" spans="1:27" x14ac:dyDescent="0.35">
      <c r="A58" s="8" t="s">
        <v>12</v>
      </c>
      <c r="B58" s="7">
        <f>SUM(B55*0.01)</f>
        <v>1.4824999999999999</v>
      </c>
      <c r="C58" s="16"/>
      <c r="E58" s="11"/>
      <c r="G58" s="6" t="s">
        <v>14</v>
      </c>
      <c r="H58" s="14">
        <f>SUM(H55:H57)</f>
        <v>58</v>
      </c>
      <c r="K58" s="11"/>
      <c r="M58" s="17" t="s">
        <v>10</v>
      </c>
      <c r="N58" s="7">
        <f>SUM(N57+7648.25)</f>
        <v>1648.25</v>
      </c>
      <c r="O58" s="16"/>
      <c r="Q58" s="11"/>
      <c r="X58" s="11"/>
      <c r="Z58" s="16"/>
      <c r="AA58" s="16"/>
    </row>
    <row r="59" spans="1:27" x14ac:dyDescent="0.35">
      <c r="A59" s="8" t="s">
        <v>13</v>
      </c>
      <c r="B59" s="7">
        <f>SUM(B55*0.015)</f>
        <v>2.2237499999999999</v>
      </c>
      <c r="C59" s="16"/>
      <c r="E59" s="11"/>
      <c r="K59" s="11"/>
      <c r="M59" s="8" t="s">
        <v>12</v>
      </c>
      <c r="N59" s="7">
        <f>SUM(N58*0.01)</f>
        <v>16.482500000000002</v>
      </c>
      <c r="O59" s="16"/>
      <c r="Q59" s="11"/>
      <c r="X59" s="11"/>
    </row>
    <row r="60" spans="1:27" x14ac:dyDescent="0.35">
      <c r="A60" s="6" t="s">
        <v>14</v>
      </c>
      <c r="B60" s="14">
        <f t="array" ref="B60">SUM(ROUND(B57:B59,2))</f>
        <v>226.07999999999998</v>
      </c>
      <c r="C60" s="15"/>
      <c r="E60" s="11"/>
      <c r="K60" s="11"/>
      <c r="M60" s="8" t="s">
        <v>13</v>
      </c>
      <c r="N60" s="7">
        <f>SUM(N58*0.015)</f>
        <v>24.723749999999999</v>
      </c>
      <c r="O60" s="16"/>
      <c r="Q60" s="11"/>
      <c r="X60" s="11"/>
      <c r="Z60" s="16"/>
      <c r="AA60" s="16"/>
    </row>
    <row r="61" spans="1:27" x14ac:dyDescent="0.35">
      <c r="A61" s="6"/>
      <c r="B61" s="14"/>
      <c r="C61" s="15"/>
      <c r="E61" s="11"/>
      <c r="K61" s="11"/>
      <c r="M61" s="6" t="s">
        <v>14</v>
      </c>
      <c r="N61" s="14">
        <f t="array" ref="N61">SUM(ROUND(N58:N60,2))</f>
        <v>1689.45</v>
      </c>
      <c r="O61" s="16"/>
      <c r="Q61" s="11"/>
      <c r="X61" s="11"/>
      <c r="Z61" s="16"/>
      <c r="AA61" s="16"/>
    </row>
    <row r="62" spans="1:27" x14ac:dyDescent="0.35">
      <c r="A62" s="6" t="s">
        <v>3</v>
      </c>
      <c r="B62" s="28" t="s">
        <v>43</v>
      </c>
      <c r="C62" s="29"/>
      <c r="E62" s="11"/>
      <c r="K62" s="11"/>
      <c r="O62" s="16"/>
      <c r="Q62" s="11"/>
      <c r="X62" s="11"/>
      <c r="Z62" s="16"/>
      <c r="AA62" s="16"/>
    </row>
    <row r="63" spans="1:27" x14ac:dyDescent="0.35">
      <c r="A63" s="6" t="s">
        <v>9</v>
      </c>
      <c r="B63" s="4"/>
      <c r="C63" s="16">
        <f>CEILING(B63,1000)</f>
        <v>0</v>
      </c>
      <c r="E63" s="11"/>
      <c r="K63" s="11"/>
      <c r="O63" s="15"/>
      <c r="Q63" s="11"/>
      <c r="X63" s="11"/>
      <c r="Z63" s="16"/>
      <c r="AA63" s="16"/>
    </row>
    <row r="64" spans="1:27" x14ac:dyDescent="0.35">
      <c r="A64" s="21">
        <v>-2000000</v>
      </c>
      <c r="B64" s="7">
        <f>SUM(C63-2000000)</f>
        <v>-2000000</v>
      </c>
      <c r="E64" s="11"/>
      <c r="K64" s="11"/>
      <c r="O64" s="8"/>
      <c r="Q64" s="11"/>
      <c r="X64" s="11"/>
      <c r="Z64" s="15"/>
      <c r="AA64" s="15"/>
    </row>
    <row r="65" spans="1:27" x14ac:dyDescent="0.35">
      <c r="A65" s="17" t="s">
        <v>22</v>
      </c>
      <c r="B65" s="7">
        <f>SUM(B64/1000)</f>
        <v>-2000</v>
      </c>
      <c r="C65" s="16"/>
      <c r="E65" s="11"/>
      <c r="K65" s="11"/>
      <c r="Q65" s="11"/>
      <c r="X65" s="11"/>
      <c r="Z65" s="16"/>
      <c r="AA65" s="16"/>
    </row>
    <row r="66" spans="1:27" x14ac:dyDescent="0.35">
      <c r="A66" s="8" t="s">
        <v>44</v>
      </c>
      <c r="B66" s="7">
        <f>SUM(B65*3)</f>
        <v>-6000</v>
      </c>
      <c r="C66" s="16"/>
      <c r="E66" s="11"/>
      <c r="K66" s="11"/>
      <c r="Q66" s="11"/>
      <c r="X66" s="11"/>
      <c r="Z66" s="15"/>
      <c r="AA66" s="15"/>
    </row>
    <row r="67" spans="1:27" x14ac:dyDescent="0.35">
      <c r="A67" s="17" t="s">
        <v>10</v>
      </c>
      <c r="B67" s="7">
        <f>SUM(B66+7648.25)</f>
        <v>1648.25</v>
      </c>
      <c r="C67" s="16"/>
      <c r="E67" s="11"/>
      <c r="K67" s="11"/>
      <c r="Q67" s="11"/>
      <c r="X67" s="11"/>
    </row>
    <row r="68" spans="1:27" x14ac:dyDescent="0.35">
      <c r="A68" s="8" t="s">
        <v>11</v>
      </c>
      <c r="B68" s="7">
        <f>SUM(B67*0.5)</f>
        <v>824.125</v>
      </c>
      <c r="C68" s="16"/>
      <c r="E68" s="11"/>
      <c r="K68" s="11"/>
      <c r="Q68" s="11"/>
      <c r="X68" s="11"/>
    </row>
    <row r="69" spans="1:27" x14ac:dyDescent="0.35">
      <c r="A69" s="8" t="s">
        <v>32</v>
      </c>
      <c r="B69" s="7">
        <f>SUM(B67:B68)</f>
        <v>2472.375</v>
      </c>
      <c r="C69" s="16"/>
      <c r="E69" s="11"/>
      <c r="K69" s="11"/>
      <c r="Q69" s="11"/>
      <c r="X69" s="11"/>
    </row>
    <row r="70" spans="1:27" x14ac:dyDescent="0.35">
      <c r="A70" s="8" t="s">
        <v>12</v>
      </c>
      <c r="B70" s="7">
        <f>SUM(B67*0.01)</f>
        <v>16.482500000000002</v>
      </c>
      <c r="C70" s="16"/>
      <c r="E70" s="11"/>
      <c r="K70" s="11"/>
      <c r="Q70" s="11"/>
      <c r="X70" s="11"/>
    </row>
    <row r="71" spans="1:27" x14ac:dyDescent="0.35">
      <c r="A71" s="8" t="s">
        <v>13</v>
      </c>
      <c r="B71" s="7">
        <f>SUM(B67*0.015)</f>
        <v>24.723749999999999</v>
      </c>
      <c r="C71" s="16"/>
      <c r="E71" s="11"/>
      <c r="K71" s="11"/>
      <c r="Q71" s="11"/>
      <c r="X71" s="11"/>
    </row>
    <row r="72" spans="1:27" x14ac:dyDescent="0.35">
      <c r="A72" s="6" t="s">
        <v>14</v>
      </c>
      <c r="B72" s="14">
        <f t="array" ref="B72">SUM(ROUND(B69:B71,2))</f>
        <v>2513.58</v>
      </c>
      <c r="C72" s="15"/>
      <c r="E72" s="11"/>
      <c r="K72" s="11"/>
      <c r="Q72" s="11"/>
      <c r="X72" s="11"/>
    </row>
  </sheetData>
  <sheetProtection algorithmName="SHA-512" hashValue="BBkNFbVrKooK/+CnPR3LvBKs+jlc8kjUK6nhj10Z57YTSotwIEZLMzewC91EoI2fmzuRm7hKcMUWzhzQF9Aj2A==" saltValue="PG0QnojL3lrMnvxPjJrVJg==" spinCount="100000" sheet="1" objects="1" scenarios="1" selectLockedCells="1"/>
  <mergeCells count="7">
    <mergeCell ref="Z4:AB4"/>
    <mergeCell ref="G42:H42"/>
    <mergeCell ref="A2:U2"/>
    <mergeCell ref="A4:B4"/>
    <mergeCell ref="G4:H4"/>
    <mergeCell ref="M4:N4"/>
    <mergeCell ref="S4:U4"/>
  </mergeCells>
  <dataValidations count="9">
    <dataValidation type="decimal" allowBlank="1" showInputMessage="1" showErrorMessage="1" sqref="B15 N14" xr:uid="{9A7F948D-7989-4A9C-A490-41E9651E063A}">
      <formula1>1001</formula1>
      <formula2>24999.99</formula2>
    </dataValidation>
    <dataValidation type="decimal" allowBlank="1" showInputMessage="1" showErrorMessage="1" sqref="B27 N24" xr:uid="{1B470267-98AD-47CA-82C2-B8EAF89BE323}">
      <formula1>25000</formula1>
      <formula2>49999.99</formula2>
    </dataValidation>
    <dataValidation type="decimal" allowBlank="1" showInputMessage="1" showErrorMessage="1" sqref="B39 N34" xr:uid="{F8626AED-A890-4A80-B45E-DC4292EB37B6}">
      <formula1>50000</formula1>
      <formula2>99999.99</formula2>
    </dataValidation>
    <dataValidation type="decimal" allowBlank="1" showInputMessage="1" showErrorMessage="1" sqref="B51 N44" xr:uid="{A2B61D52-AFD0-4DA2-A028-FF0258ECE300}">
      <formula1>100000</formula1>
      <formula2>1999999.99</formula2>
    </dataValidation>
    <dataValidation type="decimal" operator="greaterThanOrEqual" allowBlank="1" showInputMessage="1" showErrorMessage="1" sqref="B63 N54" xr:uid="{F635E66D-E30A-46D4-86A2-921D54610901}">
      <formula1>2000000</formula1>
    </dataValidation>
    <dataValidation type="decimal" allowBlank="1" showInputMessage="1" showErrorMessage="1" sqref="H15" xr:uid="{6E1DB812-D4EB-4DB0-924E-12C97DDE7B4F}">
      <formula1>1001</formula1>
      <formula2>999999.99</formula2>
    </dataValidation>
    <dataValidation type="decimal" operator="greaterThanOrEqual" allowBlank="1" showInputMessage="1" showErrorMessage="1" sqref="H27" xr:uid="{99671759-0038-46D7-85E3-58C20ACB9B6B}">
      <formula1>1000000</formula1>
    </dataValidation>
    <dataValidation type="decimal" allowBlank="1" showInputMessage="1" showErrorMessage="1" sqref="H44" xr:uid="{7F074B50-D8CF-47DE-9CEE-B4A06FC705EF}">
      <formula1>0</formula1>
      <formula2>1000.99</formula2>
    </dataValidation>
    <dataValidation type="decimal" operator="greaterThanOrEqual" allowBlank="1" showInputMessage="1" showErrorMessage="1" sqref="H51" xr:uid="{C243F8B0-EB00-42B3-B0AC-5BDE01CB6CDF}">
      <formula1>1001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091B54-9AB0-48BE-ABC8-16D30FC0AF79}">
          <x14:formula1>
            <xm:f>Sheet2!$B$1:$B$7</xm:f>
          </x14:formula1>
          <xm:sqref>AB17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7058-2139-4528-93CF-EC25F7B46678}">
  <dimension ref="A1:B7"/>
  <sheetViews>
    <sheetView workbookViewId="0">
      <selection activeCell="B1" sqref="B1:B7"/>
    </sheetView>
  </sheetViews>
  <sheetFormatPr defaultRowHeight="14.5" x14ac:dyDescent="0.35"/>
  <cols>
    <col min="1" max="1" width="16.08984375" customWidth="1"/>
    <col min="2" max="2" width="14.6328125" customWidth="1"/>
  </cols>
  <sheetData>
    <row r="1" spans="1:2" x14ac:dyDescent="0.35">
      <c r="A1" s="19" t="s">
        <v>18</v>
      </c>
      <c r="B1" s="7">
        <v>100</v>
      </c>
    </row>
    <row r="2" spans="1:2" x14ac:dyDescent="0.35">
      <c r="A2" s="19" t="s">
        <v>20</v>
      </c>
      <c r="B2" s="7">
        <v>110</v>
      </c>
    </row>
    <row r="3" spans="1:2" x14ac:dyDescent="0.35">
      <c r="A3" s="19" t="s">
        <v>21</v>
      </c>
      <c r="B3" s="7">
        <v>120</v>
      </c>
    </row>
    <row r="4" spans="1:2" x14ac:dyDescent="0.35">
      <c r="A4" s="19" t="s">
        <v>24</v>
      </c>
      <c r="B4" s="7">
        <v>130</v>
      </c>
    </row>
    <row r="5" spans="1:2" x14ac:dyDescent="0.35">
      <c r="A5" s="19" t="s">
        <v>28</v>
      </c>
      <c r="B5" s="7">
        <v>140</v>
      </c>
    </row>
    <row r="6" spans="1:2" x14ac:dyDescent="0.35">
      <c r="A6" s="24" t="s">
        <v>30</v>
      </c>
      <c r="B6" s="7">
        <v>120</v>
      </c>
    </row>
    <row r="7" spans="1:2" x14ac:dyDescent="0.35">
      <c r="A7" s="24" t="s">
        <v>31</v>
      </c>
      <c r="B7" s="7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Reedy Creek Improvement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Hickey, Ella</dc:creator>
  <cp:lastModifiedBy>Hickey, Ella</cp:lastModifiedBy>
  <dcterms:created xsi:type="dcterms:W3CDTF">2023-11-27T18:34:38Z</dcterms:created>
  <dcterms:modified xsi:type="dcterms:W3CDTF">2026-07-23T18:27:50Z</dcterms:modified>
</cp:coreProperties>
</file>